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10" windowHeight="8970" activeTab="0"/>
  </bookViews>
  <sheets>
    <sheet name="TE-1000" sheetId="1" r:id="rId1"/>
    <sheet name="Current" sheetId="2" r:id="rId2"/>
    <sheet name="Revison History" sheetId="3" state="hidden" r:id="rId3"/>
  </sheets>
  <definedNames>
    <definedName name="__123Graph_A" hidden="1">'TE-1000'!$E$20:$E$24</definedName>
    <definedName name="__123Graph_X" hidden="1">'TE-1000'!$C$20:$C$24</definedName>
    <definedName name="_Regression_Int" localSheetId="0" hidden="1">1</definedName>
    <definedName name="_Regression_Out" hidden="1">'TE-1000'!$I$20</definedName>
    <definedName name="_Regression_X" hidden="1">'TE-1000'!$C$20:$C$24</definedName>
    <definedName name="_Regression_Y" hidden="1">'TE-1000'!$E$20:$E$24</definedName>
    <definedName name="_xlnm.Print_Area" localSheetId="0">'TE-1000'!$A$1:$H$44</definedName>
    <definedName name="Print_Area_MI" localSheetId="0">'TE-1000'!$A$1:$H$44</definedName>
  </definedNames>
  <calcPr fullCalcOnLoad="1"/>
</workbook>
</file>

<file path=xl/sharedStrings.xml><?xml version="1.0" encoding="utf-8"?>
<sst xmlns="http://schemas.openxmlformats.org/spreadsheetml/2006/main" count="75" uniqueCount="73">
  <si>
    <t>TE-1000</t>
  </si>
  <si>
    <t>Tisch</t>
  </si>
  <si>
    <t>TE-5040A</t>
  </si>
  <si>
    <t>Plate or</t>
  </si>
  <si>
    <t xml:space="preserve"> Test #</t>
  </si>
  <si>
    <t xml:space="preserve"> (m3/min)</t>
  </si>
  <si>
    <t xml:space="preserve"> (corrected)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</si>
  <si>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</si>
  <si>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</si>
  <si>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</si>
  <si>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</si>
  <si>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</si>
  <si>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 Calculations</t>
  </si>
  <si>
    <t>Flow (corrected)=Sqrt((magn)(Pa/Pstd)(Tstd/Ta))</t>
  </si>
  <si>
    <t>Qstd = standard flow rate</t>
  </si>
  <si>
    <t>Flow (corrected)= corrected flow rate</t>
  </si>
  <si>
    <t>Ta = actual temperature during calibration (deg K)</t>
  </si>
  <si>
    <t>Pa = actual pressure during calibration (mm Hg)</t>
  </si>
  <si>
    <t>Tstd = 298 deg K</t>
  </si>
  <si>
    <t>Pstd = 760 mm Hg</t>
  </si>
  <si>
    <t>For subsequent calculation of sampler flow:</t>
  </si>
  <si>
    <t>Tav = daily average temperature</t>
  </si>
  <si>
    <t>Pav = daily average pressure</t>
  </si>
  <si>
    <t>Location:</t>
  </si>
  <si>
    <t>Sampler:</t>
  </si>
  <si>
    <t>Date:</t>
  </si>
  <si>
    <t>Tech:</t>
  </si>
  <si>
    <t>Make:</t>
  </si>
  <si>
    <t>Model:</t>
  </si>
  <si>
    <t>Serial#:</t>
  </si>
  <si>
    <t>Qstd Slope:</t>
  </si>
  <si>
    <t>Qstd Intercept:</t>
  </si>
  <si>
    <t>Temperature (deg F):</t>
  </si>
  <si>
    <t>Temperature (deg K):</t>
  </si>
  <si>
    <t>Cleves Ohio</t>
  </si>
  <si>
    <t>Jim Tisch</t>
  </si>
  <si>
    <t>Barometric Pressure (in Hg):</t>
  </si>
  <si>
    <t>Site Information</t>
  </si>
  <si>
    <t>Site Conditions</t>
  </si>
  <si>
    <t>Calibration Orifice</t>
  </si>
  <si>
    <t>Calibration Due Date:</t>
  </si>
  <si>
    <t>Calibration Information</t>
  </si>
  <si>
    <t>Slope:</t>
  </si>
  <si>
    <t>Intercept:</t>
  </si>
  <si>
    <t>Corr. Coeff:</t>
  </si>
  <si>
    <t># of Observations:</t>
  </si>
  <si>
    <t>Pressure</t>
  </si>
  <si>
    <r>
      <t>(in H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>0)</t>
    </r>
  </si>
  <si>
    <t>Flow</t>
  </si>
  <si>
    <t>Linear Regression</t>
  </si>
  <si>
    <t>Site ID:</t>
  </si>
  <si>
    <t>Serial No:</t>
  </si>
  <si>
    <t>Flow (magn)= reading from magnehelic gauge</t>
  </si>
  <si>
    <t>NOTE: Ensure calibration orifice has been certified within 12 months of use</t>
  </si>
  <si>
    <t>Tisch Environmental 145 South Miami Ave, Cleves OH 45002 ● 877.263.7610 ● sales@tisch-env.com ●  www.tisch-env.com</t>
  </si>
  <si>
    <t>m = sampler slope</t>
  </si>
  <si>
    <t>b = sampler intercept</t>
  </si>
  <si>
    <t>(magn) = magnehelic reading</t>
  </si>
  <si>
    <t>m = calibrator Qstd slope</t>
  </si>
  <si>
    <t>b = calibrator Qstd intercept</t>
  </si>
  <si>
    <t>Corrected Pressure (mm Hg):</t>
  </si>
  <si>
    <t>Average Pressure (in Hg):</t>
  </si>
  <si>
    <t>Average Temperature (deg F):</t>
  </si>
  <si>
    <t>Corrected Average Pressure (mm Hg):</t>
  </si>
  <si>
    <t>Average Temperature (deg K):</t>
  </si>
  <si>
    <t>(magn)</t>
  </si>
  <si>
    <t>Qstd</t>
  </si>
  <si>
    <t>Average Flow Over Sample (m3/min)</t>
  </si>
  <si>
    <t>Average Flow (magn):</t>
  </si>
  <si>
    <t>Enter Total Time (hrs):</t>
  </si>
  <si>
    <t>Qstd = 1/m[Sqrt((H20)(Pa/760)(298/Ta))-b]</t>
  </si>
  <si>
    <t>Total Flow Over Sample (m3)</t>
  </si>
  <si>
    <t>Total Flow Over Sample (liters)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</si>
</sst>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0_)"/>
    <numFmt numFmtId="167" formatCode="0.000_)"/>
    <numFmt numFmtId="168" formatCode="0.0_)"/>
    <numFmt numFmtId="169" formatCode="0.0000_)"/>
    <numFmt numFmtId="170" formatCode="0.000"/>
    <numFmt numFmtId="171" formatCode="0.000000000000000"/>
    <numFmt numFmtId="172" formatCode="0.00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000000"/>
    <numFmt numFmtId="178" formatCode="0.00000000000"/>
    <numFmt numFmtId="179" formatCode="0.0000"/>
    <numFmt numFmtId="180" formatCode="0.000000"/>
  </numFmts>
  <fonts count="48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8"/>
      <name val="Calibri"/>
      <family val="2"/>
    </font>
    <font>
      <b/>
      <sz val="16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167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7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/>
    </xf>
    <xf numFmtId="168" fontId="2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15" fontId="2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right"/>
      <protection/>
    </xf>
    <xf numFmtId="164" fontId="2" fillId="0" borderId="11" xfId="0" applyNumberFormat="1" applyFont="1" applyBorder="1" applyAlignment="1" applyProtection="1">
      <alignment horizontal="right"/>
      <protection locked="0"/>
    </xf>
    <xf numFmtId="168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left"/>
      <protection locked="0"/>
    </xf>
    <xf numFmtId="167" fontId="2" fillId="0" borderId="14" xfId="0" applyNumberFormat="1" applyFont="1" applyBorder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2" fillId="0" borderId="1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179" fontId="0" fillId="0" borderId="14" xfId="0" applyNumberFormat="1" applyFont="1" applyBorder="1" applyAlignment="1">
      <alignment horizontal="left"/>
    </xf>
    <xf numFmtId="166" fontId="2" fillId="0" borderId="12" xfId="0" applyNumberFormat="1" applyFont="1" applyBorder="1" applyAlignment="1" applyProtection="1">
      <alignment horizontal="left"/>
      <protection locked="0"/>
    </xf>
    <xf numFmtId="166" fontId="2" fillId="0" borderId="14" xfId="0" applyNumberFormat="1" applyFont="1" applyBorder="1" applyAlignment="1" applyProtection="1">
      <alignment horizontal="left"/>
      <protection locked="0"/>
    </xf>
    <xf numFmtId="168" fontId="2" fillId="0" borderId="15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0" fontId="5" fillId="0" borderId="15" xfId="0" applyFont="1" applyBorder="1" applyAlignment="1" applyProtection="1">
      <alignment horizontal="right" vertical="top"/>
      <protection/>
    </xf>
    <xf numFmtId="0" fontId="2" fillId="0" borderId="15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>
      <alignment horizontal="right" vertical="top"/>
    </xf>
    <xf numFmtId="0" fontId="2" fillId="0" borderId="15" xfId="0" applyNumberFormat="1" applyFont="1" applyBorder="1" applyAlignment="1" applyProtection="1">
      <alignment horizontal="left" vertical="top"/>
      <protection locked="0"/>
    </xf>
    <xf numFmtId="15" fontId="2" fillId="0" borderId="15" xfId="0" applyNumberFormat="1" applyFont="1" applyBorder="1" applyAlignment="1" applyProtection="1">
      <alignment horizontal="left" vertical="top"/>
      <protection locked="0"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/>
    </xf>
    <xf numFmtId="15" fontId="2" fillId="0" borderId="17" xfId="0" applyNumberFormat="1" applyFont="1" applyBorder="1" applyAlignment="1" applyProtection="1">
      <alignment horizontal="left" vertical="top"/>
      <protection locked="0"/>
    </xf>
    <xf numFmtId="167" fontId="0" fillId="0" borderId="0" xfId="0" applyNumberFormat="1" applyAlignment="1">
      <alignment vertical="top"/>
    </xf>
    <xf numFmtId="0" fontId="2" fillId="0" borderId="16" xfId="0" applyFont="1" applyBorder="1" applyAlignment="1" applyProtection="1">
      <alignment horizontal="left" vertical="top"/>
      <protection locked="0"/>
    </xf>
    <xf numFmtId="164" fontId="2" fillId="0" borderId="15" xfId="0" applyNumberFormat="1" applyFont="1" applyBorder="1" applyAlignment="1" applyProtection="1">
      <alignment vertical="top"/>
      <protection locked="0"/>
    </xf>
    <xf numFmtId="167" fontId="0" fillId="0" borderId="15" xfId="0" applyNumberFormat="1" applyBorder="1" applyAlignment="1" applyProtection="1">
      <alignment vertical="top"/>
      <protection/>
    </xf>
    <xf numFmtId="168" fontId="2" fillId="0" borderId="15" xfId="0" applyNumberFormat="1" applyFont="1" applyBorder="1" applyAlignment="1" applyProtection="1">
      <alignment vertical="top"/>
      <protection locked="0"/>
    </xf>
    <xf numFmtId="164" fontId="0" fillId="0" borderId="15" xfId="0" applyNumberFormat="1" applyBorder="1" applyAlignment="1" applyProtection="1">
      <alignment vertical="top"/>
      <protection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top"/>
      <protection locked="0"/>
    </xf>
    <xf numFmtId="164" fontId="2" fillId="0" borderId="0" xfId="0" applyNumberFormat="1" applyFont="1" applyBorder="1" applyAlignment="1" applyProtection="1">
      <alignment vertical="top"/>
      <protection locked="0"/>
    </xf>
    <xf numFmtId="167" fontId="0" fillId="0" borderId="0" xfId="0" applyNumberFormat="1" applyBorder="1" applyAlignment="1" applyProtection="1">
      <alignment vertical="top"/>
      <protection/>
    </xf>
    <xf numFmtId="168" fontId="2" fillId="0" borderId="0" xfId="0" applyNumberFormat="1" applyFont="1" applyBorder="1" applyAlignment="1" applyProtection="1">
      <alignment vertical="top"/>
      <protection locked="0"/>
    </xf>
    <xf numFmtId="164" fontId="0" fillId="0" borderId="0" xfId="0" applyNumberForma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right" vertical="top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168" fontId="0" fillId="0" borderId="14" xfId="0" applyNumberFormat="1" applyBorder="1" applyAlignment="1" applyProtection="1">
      <alignment horizontal="center"/>
      <protection/>
    </xf>
    <xf numFmtId="168" fontId="2" fillId="0" borderId="0" xfId="0" applyNumberFormat="1" applyFont="1" applyBorder="1" applyAlignment="1" applyProtection="1">
      <alignment horizontal="right" vertical="top"/>
      <protection locked="0"/>
    </xf>
    <xf numFmtId="168" fontId="0" fillId="0" borderId="14" xfId="0" applyNumberFormat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68" fontId="2" fillId="0" borderId="14" xfId="0" applyNumberFormat="1" applyFont="1" applyBorder="1" applyAlignment="1" applyProtection="1">
      <alignment horizontal="center"/>
      <protection locked="0"/>
    </xf>
    <xf numFmtId="168" fontId="2" fillId="0" borderId="12" xfId="0" applyNumberFormat="1" applyFont="1" applyBorder="1" applyAlignment="1" applyProtection="1">
      <alignment horizontal="center"/>
      <protection locked="0"/>
    </xf>
    <xf numFmtId="168" fontId="0" fillId="0" borderId="17" xfId="0" applyNumberFormat="1" applyBorder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horizontal="right" vertical="top"/>
      <protection locked="0"/>
    </xf>
    <xf numFmtId="0" fontId="25" fillId="0" borderId="0" xfId="0" applyFont="1" applyBorder="1" applyAlignment="1" applyProtection="1">
      <alignment horizontal="center"/>
      <protection/>
    </xf>
    <xf numFmtId="0" fontId="25" fillId="0" borderId="15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 vertical="top"/>
      <protection/>
    </xf>
    <xf numFmtId="0" fontId="5" fillId="0" borderId="15" xfId="0" applyFont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right"/>
      <protection/>
    </xf>
    <xf numFmtId="0" fontId="25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80" fontId="24" fillId="0" borderId="13" xfId="0" applyNumberFormat="1" applyFont="1" applyBorder="1" applyAlignment="1">
      <alignment horizontal="center"/>
    </xf>
    <xf numFmtId="180" fontId="24" fillId="0" borderId="14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CALIBRATION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95125"/>
          <c:h val="0.84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'TE-1000'!$C$20:$C$24</c:f>
              <c:numCache>
                <c:ptCount val="5"/>
                <c:pt idx="0">
                  <c:v>0.28612056103102984</c:v>
                </c:pt>
                <c:pt idx="1">
                  <c:v>0.26866965827017064</c:v>
                </c:pt>
                <c:pt idx="2">
                  <c:v>0.25105774690826066</c:v>
                </c:pt>
                <c:pt idx="3">
                  <c:v>0.23208832105438498</c:v>
                </c:pt>
                <c:pt idx="4">
                  <c:v>0.20223722962572352</c:v>
                </c:pt>
              </c:numCache>
            </c:numRef>
          </c:xVal>
          <c:yVal>
            <c:numRef>
              <c:f>'TE-1000'!$E$20:$E$24</c:f>
              <c:numCache>
                <c:ptCount val="5"/>
                <c:pt idx="0">
                  <c:v>8.418416274934176</c:v>
                </c:pt>
                <c:pt idx="1">
                  <c:v>7.79393899558643</c:v>
                </c:pt>
                <c:pt idx="2">
                  <c:v>7.114860332836408</c:v>
                </c:pt>
                <c:pt idx="3">
                  <c:v>6.363724541855595</c:v>
                </c:pt>
                <c:pt idx="4">
                  <c:v>5.511147115933434</c:v>
                </c:pt>
              </c:numCache>
            </c:numRef>
          </c:yVal>
          <c:smooth val="0"/>
        </c:ser>
        <c:axId val="10215781"/>
        <c:axId val="24833166"/>
      </c:scatterChart>
      <c:valAx>
        <c:axId val="10215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Qstd (m3/min)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low"/>
        <c:spPr>
          <a:ln w="3175">
            <a:solidFill>
              <a:srgbClr val="000000"/>
            </a:solidFill>
          </a:ln>
        </c:spPr>
        <c:crossAx val="24833166"/>
        <c:crosses val="autoZero"/>
        <c:crossBetween val="midCat"/>
        <c:dispUnits/>
      </c:valAx>
      <c:valAx>
        <c:axId val="24833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Corrected Flow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021578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4</xdr:col>
      <xdr:colOff>171450</xdr:colOff>
      <xdr:row>0</xdr:row>
      <xdr:rowOff>1104900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3219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0</xdr:row>
      <xdr:rowOff>523875</xdr:rowOff>
    </xdr:from>
    <xdr:to>
      <xdr:col>8</xdr:col>
      <xdr:colOff>238125</xdr:colOff>
      <xdr:row>0</xdr:row>
      <xdr:rowOff>952500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86125" y="523875"/>
          <a:ext cx="442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TE-1000 PUF  Calibration Worksheet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47625</xdr:rowOff>
    </xdr:from>
    <xdr:to>
      <xdr:col>9</xdr:col>
      <xdr:colOff>19050</xdr:colOff>
      <xdr:row>28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209550"/>
          <a:ext cx="6019800" cy="443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Revision History: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- 12-26-13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updated logo and format to match current worksheets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added x.x decimal place for condition information for temp and pressure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added kelvin temperature calculation to 273.15 instead of 273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Deleted rows 16 and 17 - avg press/temp /corrected seasonal / average temp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44"/>
  <sheetViews>
    <sheetView tabSelected="1" zoomScale="130" zoomScaleNormal="130" zoomScalePageLayoutView="0" workbookViewId="0" topLeftCell="A16">
      <selection activeCell="H41" sqref="H41"/>
    </sheetView>
  </sheetViews>
  <sheetFormatPr defaultColWidth="9.625" defaultRowHeight="12.75"/>
  <cols>
    <col min="1" max="3" width="10.625" style="0" customWidth="1"/>
    <col min="4" max="4" width="9.125" style="0" customWidth="1"/>
    <col min="5" max="5" width="10.625" style="0" customWidth="1"/>
    <col min="6" max="6" width="8.875" style="0" customWidth="1"/>
    <col min="7" max="7" width="19.625" style="0" customWidth="1"/>
    <col min="8" max="8" width="18.00390625" style="0" customWidth="1"/>
    <col min="9" max="9" width="17.875" style="0" customWidth="1"/>
    <col min="10" max="10" width="11.50390625" style="0" customWidth="1"/>
    <col min="11" max="11" width="18.125" style="0" bestFit="1" customWidth="1"/>
  </cols>
  <sheetData>
    <row r="1" s="22" customFormat="1" ht="90" customHeight="1">
      <c r="C1" s="74"/>
    </row>
    <row r="2" spans="1:8" ht="18" customHeight="1" thickBot="1">
      <c r="A2" s="92" t="s">
        <v>37</v>
      </c>
      <c r="B2" s="92"/>
      <c r="C2" s="92"/>
      <c r="D2" s="92"/>
      <c r="E2" s="92"/>
      <c r="F2" s="92"/>
      <c r="G2" s="92"/>
      <c r="H2" s="92"/>
    </row>
    <row r="3" spans="1:8" ht="15.75" customHeight="1">
      <c r="A3" s="23"/>
      <c r="B3" s="43" t="s">
        <v>23</v>
      </c>
      <c r="C3" s="24" t="s">
        <v>34</v>
      </c>
      <c r="D3" s="48" t="s">
        <v>50</v>
      </c>
      <c r="E3" s="49">
        <v>145</v>
      </c>
      <c r="F3" s="43" t="s">
        <v>25</v>
      </c>
      <c r="G3" s="26">
        <v>41943</v>
      </c>
      <c r="H3" s="27"/>
    </row>
    <row r="4" spans="1:8" s="55" customFormat="1" ht="21.75" customHeight="1" thickBot="1">
      <c r="A4" s="56"/>
      <c r="B4" s="57" t="s">
        <v>24</v>
      </c>
      <c r="C4" s="58" t="s">
        <v>0</v>
      </c>
      <c r="D4" s="59" t="s">
        <v>51</v>
      </c>
      <c r="E4" s="60">
        <v>1116</v>
      </c>
      <c r="F4" s="57" t="s">
        <v>26</v>
      </c>
      <c r="G4" s="61" t="s">
        <v>35</v>
      </c>
      <c r="H4" s="62"/>
    </row>
    <row r="5" spans="2:6" ht="12">
      <c r="B5" s="1"/>
      <c r="C5" s="2"/>
      <c r="E5" s="12"/>
      <c r="F5" s="2"/>
    </row>
    <row r="6" spans="1:8" ht="16.5" thickBot="1">
      <c r="A6" s="92" t="s">
        <v>38</v>
      </c>
      <c r="B6" s="92"/>
      <c r="C6" s="92"/>
      <c r="D6" s="92"/>
      <c r="E6" s="92"/>
      <c r="F6" s="92"/>
      <c r="G6" s="92"/>
      <c r="H6" s="92"/>
    </row>
    <row r="7" spans="1:8" ht="18.75" customHeight="1">
      <c r="A7" s="96" t="s">
        <v>36</v>
      </c>
      <c r="B7" s="97"/>
      <c r="C7" s="97"/>
      <c r="D7" s="30">
        <v>29.8</v>
      </c>
      <c r="E7" s="97" t="s">
        <v>60</v>
      </c>
      <c r="F7" s="97"/>
      <c r="G7" s="97"/>
      <c r="H7" s="31">
        <f>D7*25.4</f>
        <v>756.92</v>
      </c>
    </row>
    <row r="8" spans="1:8" ht="13.5" customHeight="1">
      <c r="A8" s="102" t="s">
        <v>32</v>
      </c>
      <c r="B8" s="100"/>
      <c r="C8" s="100"/>
      <c r="D8" s="83">
        <v>68</v>
      </c>
      <c r="E8" s="100" t="s">
        <v>33</v>
      </c>
      <c r="F8" s="100"/>
      <c r="G8" s="100"/>
      <c r="H8" s="84">
        <f>((D8-32)/1.8)+273.15</f>
        <v>293.15</v>
      </c>
    </row>
    <row r="9" spans="1:8" ht="14.25" customHeight="1">
      <c r="A9" s="102" t="s">
        <v>61</v>
      </c>
      <c r="B9" s="100"/>
      <c r="C9" s="100"/>
      <c r="D9" s="81">
        <v>29.58</v>
      </c>
      <c r="E9" s="100" t="s">
        <v>63</v>
      </c>
      <c r="F9" s="100"/>
      <c r="G9" s="100"/>
      <c r="H9" s="82">
        <f>D9*25.4</f>
        <v>751.3319999999999</v>
      </c>
    </row>
    <row r="10" spans="1:8" s="55" customFormat="1" ht="18.75" customHeight="1" thickBot="1">
      <c r="A10" s="98" t="s">
        <v>62</v>
      </c>
      <c r="B10" s="99"/>
      <c r="C10" s="99"/>
      <c r="D10" s="54">
        <v>68</v>
      </c>
      <c r="E10" s="99" t="s">
        <v>64</v>
      </c>
      <c r="F10" s="99"/>
      <c r="G10" s="99"/>
      <c r="H10" s="89">
        <f>(D10-32)/1.8+273.15</f>
        <v>293.15</v>
      </c>
    </row>
    <row r="11" spans="1:8" ht="6" customHeight="1">
      <c r="A11" s="12"/>
      <c r="B11" s="12"/>
      <c r="C11" s="12"/>
      <c r="D11" s="13"/>
      <c r="E11" s="12"/>
      <c r="F11" s="12"/>
      <c r="G11" s="12"/>
      <c r="H11" s="14"/>
    </row>
    <row r="12" spans="1:8" s="16" customFormat="1" ht="17.25" customHeight="1" thickBot="1">
      <c r="A12" s="93" t="s">
        <v>39</v>
      </c>
      <c r="B12" s="93"/>
      <c r="C12" s="93"/>
      <c r="D12" s="93"/>
      <c r="E12" s="93"/>
      <c r="F12" s="93"/>
      <c r="G12" s="93"/>
      <c r="H12" s="93"/>
    </row>
    <row r="13" spans="1:8" ht="16.5" customHeight="1">
      <c r="A13" s="23"/>
      <c r="B13" s="29" t="s">
        <v>27</v>
      </c>
      <c r="C13" s="24" t="s">
        <v>1</v>
      </c>
      <c r="D13" s="25"/>
      <c r="G13" s="45" t="s">
        <v>30</v>
      </c>
      <c r="H13" s="52">
        <v>9.77694</v>
      </c>
    </row>
    <row r="14" spans="1:8" ht="12.75">
      <c r="A14" s="32"/>
      <c r="B14" s="33" t="s">
        <v>28</v>
      </c>
      <c r="C14" s="17" t="s">
        <v>2</v>
      </c>
      <c r="D14" s="16"/>
      <c r="G14" s="44" t="s">
        <v>31</v>
      </c>
      <c r="H14" s="53">
        <v>-0.04181</v>
      </c>
    </row>
    <row r="15" spans="1:11" s="55" customFormat="1" ht="19.5" customHeight="1" thickBot="1">
      <c r="A15" s="56"/>
      <c r="B15" s="57" t="s">
        <v>29</v>
      </c>
      <c r="C15" s="58">
        <v>1185</v>
      </c>
      <c r="D15" s="63"/>
      <c r="E15" s="63"/>
      <c r="F15" s="63"/>
      <c r="G15" s="57" t="s">
        <v>40</v>
      </c>
      <c r="H15" s="64">
        <v>41927</v>
      </c>
      <c r="K15" s="65"/>
    </row>
    <row r="16" spans="2:11" ht="12">
      <c r="B16" s="12"/>
      <c r="C16" s="2"/>
      <c r="E16" s="15"/>
      <c r="F16" s="11"/>
      <c r="G16" s="2"/>
      <c r="K16" s="6"/>
    </row>
    <row r="17" spans="1:11" ht="16.5" thickBot="1">
      <c r="A17" s="92" t="s">
        <v>41</v>
      </c>
      <c r="B17" s="92"/>
      <c r="C17" s="92"/>
      <c r="D17" s="92"/>
      <c r="E17" s="92"/>
      <c r="F17" s="92"/>
      <c r="G17" s="92"/>
      <c r="H17" s="92"/>
      <c r="K17" s="7"/>
    </row>
    <row r="18" spans="1:11" ht="15" customHeight="1">
      <c r="A18" s="41" t="s">
        <v>3</v>
      </c>
      <c r="B18" s="40" t="s">
        <v>46</v>
      </c>
      <c r="C18" s="40" t="s">
        <v>66</v>
      </c>
      <c r="D18" s="40" t="s">
        <v>48</v>
      </c>
      <c r="E18" s="40" t="s">
        <v>48</v>
      </c>
      <c r="F18" s="36"/>
      <c r="G18" s="28"/>
      <c r="H18" s="37"/>
      <c r="K18" s="8"/>
    </row>
    <row r="19" spans="1:8" ht="14.25">
      <c r="A19" s="42" t="s">
        <v>4</v>
      </c>
      <c r="B19" s="39" t="s">
        <v>47</v>
      </c>
      <c r="C19" s="39" t="s">
        <v>5</v>
      </c>
      <c r="D19" s="39" t="s">
        <v>65</v>
      </c>
      <c r="E19" s="39" t="s">
        <v>6</v>
      </c>
      <c r="F19" s="38"/>
      <c r="G19" s="94" t="s">
        <v>49</v>
      </c>
      <c r="H19" s="95"/>
    </row>
    <row r="20" spans="1:12" ht="12.75">
      <c r="A20" s="34" t="s">
        <v>7</v>
      </c>
      <c r="B20" s="18">
        <v>7.5</v>
      </c>
      <c r="C20" s="19">
        <f>1/$H$13*(SQRT(B20*($H$7/760)*(298/$H$8))-$H$14)</f>
        <v>0.28612056103102984</v>
      </c>
      <c r="D20" s="20">
        <v>70</v>
      </c>
      <c r="E20" s="21">
        <f>(SQRT(($H$7/760)*(298/$H$8)*D20))</f>
        <v>8.418416274934176</v>
      </c>
      <c r="F20" s="100" t="s">
        <v>42</v>
      </c>
      <c r="G20" s="100"/>
      <c r="H20" s="51">
        <f>(C20*E20+C21*E21+C22*E22+C23*E23+C24*E24-((SUM(C20:C24)*SUM(E20:E24))/H24))/(-(C20)^2+(C21)^2+(C22)^2+(C23)^2+(C24)^2-(SUM(C20:C24)^2/H24))</f>
        <v>35.18475106609019</v>
      </c>
      <c r="I20" s="4"/>
      <c r="J20" s="2"/>
      <c r="K20" s="5"/>
      <c r="L20" s="4"/>
    </row>
    <row r="21" spans="1:12" ht="12.75">
      <c r="A21" s="34" t="s">
        <v>8</v>
      </c>
      <c r="B21" s="18">
        <v>6.6</v>
      </c>
      <c r="C21" s="19">
        <f>1/$H$13*(SQRT(B21*($H$7/760)*(298/$H$8))-$H$14)</f>
        <v>0.26866965827017064</v>
      </c>
      <c r="D21" s="20">
        <v>60</v>
      </c>
      <c r="E21" s="21">
        <f>(SQRT(($H$7/760)*(298/$H$8)*D21))</f>
        <v>7.79393899558643</v>
      </c>
      <c r="F21" s="100" t="s">
        <v>43</v>
      </c>
      <c r="G21" s="100"/>
      <c r="H21" s="51">
        <f>(AVERAGE(E20:E24)-(C20*E20+C21*E21+C22*E22+C23*E23+C24*E24-((SUM(C20:C24)*SUM(E20:E24))/H24))/(-(C20)^2+(C21)^2+(C22)^2+(C23)^2+(C24)^2-(SUM(C20:C24)^2/H24))*AVERAGE(C20:C24))</f>
        <v>-1.6866218418742136</v>
      </c>
      <c r="I21" s="2"/>
      <c r="J21" s="4"/>
      <c r="K21" s="3"/>
      <c r="L21" s="4"/>
    </row>
    <row r="22" spans="1:12" ht="12.75">
      <c r="A22" s="34" t="s">
        <v>9</v>
      </c>
      <c r="B22" s="18">
        <v>5.75</v>
      </c>
      <c r="C22" s="19">
        <f>1/$H$13*(SQRT(B22*($H$7/760)*(298/$H$8))-$H$14)</f>
        <v>0.25105774690826066</v>
      </c>
      <c r="D22" s="20">
        <v>50</v>
      </c>
      <c r="E22" s="21">
        <f>(SQRT(($H$7/760)*(298/$H$8)*D22))</f>
        <v>7.114860332836408</v>
      </c>
      <c r="F22" s="100" t="s">
        <v>44</v>
      </c>
      <c r="G22" s="100"/>
      <c r="H22" s="51">
        <f>(C20*E20+C21*E21+C22*E22+C23*E23+C24*E24-(SUM(C20:C24)*SUM(E20:E24)/H24))/((-(C20)^2+(C21)^2+(C22)^2+(C23)^2+(C24)^2-(SUM(C20:C24)^2/H24))*((E20)^2+(E21)^2+(E22)^2+(E23)^2+(E24)^2-(SUM(E20:E24)^2/H24)))^0.5</f>
        <v>0.9977840578788761</v>
      </c>
      <c r="I22" s="2"/>
      <c r="J22" s="4"/>
      <c r="K22" s="9"/>
      <c r="L22" s="4"/>
    </row>
    <row r="23" spans="1:12" ht="12.75">
      <c r="A23" s="34" t="s">
        <v>10</v>
      </c>
      <c r="B23" s="18">
        <v>4.9</v>
      </c>
      <c r="C23" s="19">
        <f>1/$H$13*(SQRT(B23*($H$7/760)*(298/$H$8))-$H$14)</f>
        <v>0.23208832105438498</v>
      </c>
      <c r="D23" s="20">
        <v>40</v>
      </c>
      <c r="E23" s="21">
        <f>(SQRT(($H$7/760)*(298/$H$8)*D23))</f>
        <v>6.363724541855595</v>
      </c>
      <c r="F23" s="38"/>
      <c r="G23" s="38"/>
      <c r="H23" s="35"/>
      <c r="I23" s="2"/>
      <c r="J23" s="4"/>
      <c r="K23" s="10"/>
      <c r="L23" s="4"/>
    </row>
    <row r="24" spans="1:12" s="55" customFormat="1" ht="20.25" customHeight="1" thickBot="1">
      <c r="A24" s="66" t="s">
        <v>11</v>
      </c>
      <c r="B24" s="67">
        <v>3.7</v>
      </c>
      <c r="C24" s="68">
        <f>1/$H$13*(SQRT(B24*($H$7/760)*(298/$H$8))-$H$14)</f>
        <v>0.20223722962572352</v>
      </c>
      <c r="D24" s="69">
        <v>30</v>
      </c>
      <c r="E24" s="70">
        <f>(SQRT(($H$7/760)*(298/$H$8)*D24))</f>
        <v>5.511147115933434</v>
      </c>
      <c r="F24" s="91" t="s">
        <v>45</v>
      </c>
      <c r="G24" s="91"/>
      <c r="H24" s="71">
        <v>5</v>
      </c>
      <c r="I24" s="72"/>
      <c r="J24" s="73"/>
      <c r="K24" s="73"/>
      <c r="L24" s="73"/>
    </row>
    <row r="25" spans="1:12" s="55" customFormat="1" ht="15" customHeight="1">
      <c r="A25" s="75"/>
      <c r="B25" s="76"/>
      <c r="C25" s="77"/>
      <c r="D25" s="78"/>
      <c r="E25" s="79"/>
      <c r="F25" s="80"/>
      <c r="G25" s="80"/>
      <c r="H25" s="75"/>
      <c r="I25" s="72"/>
      <c r="J25" s="73"/>
      <c r="K25" s="73"/>
      <c r="L25" s="73"/>
    </row>
    <row r="26" spans="1:12" ht="15.75">
      <c r="A26" s="101" t="s">
        <v>12</v>
      </c>
      <c r="B26" s="101"/>
      <c r="C26" s="101"/>
      <c r="D26" s="101"/>
      <c r="E26" s="101"/>
      <c r="F26" s="101"/>
      <c r="G26" s="101"/>
      <c r="H26" s="101"/>
      <c r="I26" s="4"/>
      <c r="J26" s="4"/>
      <c r="K26" s="4"/>
      <c r="L26" s="4"/>
    </row>
    <row r="27" spans="1:12" ht="12.75">
      <c r="A27" s="46" t="s">
        <v>70</v>
      </c>
      <c r="E27" s="46" t="s">
        <v>55</v>
      </c>
      <c r="I27" s="2"/>
      <c r="J27" s="4"/>
      <c r="K27" s="4"/>
      <c r="L27" s="4"/>
    </row>
    <row r="28" spans="1:5" ht="12.75">
      <c r="A28" s="46" t="s">
        <v>13</v>
      </c>
      <c r="E28" s="46" t="s">
        <v>56</v>
      </c>
    </row>
    <row r="29" spans="1:5" ht="12.75">
      <c r="A29" s="47"/>
      <c r="E29" s="46" t="s">
        <v>57</v>
      </c>
    </row>
    <row r="30" spans="1:5" ht="12.75">
      <c r="A30" s="46" t="s">
        <v>14</v>
      </c>
      <c r="E30" s="46" t="s">
        <v>21</v>
      </c>
    </row>
    <row r="31" spans="1:5" ht="12.75">
      <c r="A31" s="46" t="s">
        <v>52</v>
      </c>
      <c r="E31" s="46" t="s">
        <v>22</v>
      </c>
    </row>
    <row r="32" ht="13.5" thickBot="1">
      <c r="A32" s="46" t="s">
        <v>15</v>
      </c>
    </row>
    <row r="33" spans="1:8" ht="12.75">
      <c r="A33" s="46" t="s">
        <v>58</v>
      </c>
      <c r="G33" s="85" t="s">
        <v>68</v>
      </c>
      <c r="H33" s="88">
        <v>36</v>
      </c>
    </row>
    <row r="34" spans="1:8" ht="12.75">
      <c r="A34" s="46" t="s">
        <v>59</v>
      </c>
      <c r="G34" s="103" t="s">
        <v>67</v>
      </c>
      <c r="H34" s="104"/>
    </row>
    <row r="35" spans="1:8" ht="12.75">
      <c r="A35" s="46" t="s">
        <v>16</v>
      </c>
      <c r="G35" s="107">
        <f>1/H20*((SQRT((H33*(H9/760)*(298/H10)))-H21))</f>
        <v>0.21888615655269592</v>
      </c>
      <c r="H35" s="108"/>
    </row>
    <row r="36" spans="1:8" ht="12.75">
      <c r="A36" s="46" t="s">
        <v>17</v>
      </c>
      <c r="G36" s="86" t="s">
        <v>69</v>
      </c>
      <c r="H36" s="87">
        <v>23.9</v>
      </c>
    </row>
    <row r="37" spans="1:8" ht="12.75">
      <c r="A37" s="46" t="s">
        <v>18</v>
      </c>
      <c r="G37" s="103" t="s">
        <v>71</v>
      </c>
      <c r="H37" s="104"/>
    </row>
    <row r="38" spans="1:8" ht="12.75">
      <c r="A38" s="46" t="s">
        <v>19</v>
      </c>
      <c r="G38" s="109">
        <f>H36*60*G35</f>
        <v>313.88274849656597</v>
      </c>
      <c r="H38" s="110"/>
    </row>
    <row r="39" spans="1:8" ht="12.75">
      <c r="A39" s="46" t="s">
        <v>20</v>
      </c>
      <c r="G39" s="103" t="s">
        <v>72</v>
      </c>
      <c r="H39" s="104"/>
    </row>
    <row r="40" spans="1:8" ht="13.5" thickBot="1">
      <c r="A40" s="46" t="s">
        <v>70</v>
      </c>
      <c r="G40" s="105">
        <f>G38*1000</f>
        <v>313882.74849656597</v>
      </c>
      <c r="H40" s="106"/>
    </row>
    <row r="41" spans="7:8" ht="12.75">
      <c r="G41" s="47"/>
      <c r="H41" s="47"/>
    </row>
    <row r="42" spans="1:8" ht="12.75">
      <c r="A42" s="50" t="s">
        <v>53</v>
      </c>
      <c r="G42" s="47"/>
      <c r="H42" s="47"/>
    </row>
    <row r="44" spans="1:8" ht="16.5" customHeight="1">
      <c r="A44" s="90" t="s">
        <v>54</v>
      </c>
      <c r="B44" s="90"/>
      <c r="C44" s="90"/>
      <c r="D44" s="90"/>
      <c r="E44" s="90"/>
      <c r="F44" s="90"/>
      <c r="G44" s="90"/>
      <c r="H44" s="90"/>
    </row>
  </sheetData>
  <sheetProtection/>
  <mergeCells count="25">
    <mergeCell ref="G39:H39"/>
    <mergeCell ref="G40:H40"/>
    <mergeCell ref="G34:H34"/>
    <mergeCell ref="G35:H35"/>
    <mergeCell ref="G37:H37"/>
    <mergeCell ref="G38:H38"/>
    <mergeCell ref="E10:G10"/>
    <mergeCell ref="F20:G20"/>
    <mergeCell ref="F21:G21"/>
    <mergeCell ref="F22:G22"/>
    <mergeCell ref="A26:H26"/>
    <mergeCell ref="A8:C8"/>
    <mergeCell ref="E8:G8"/>
    <mergeCell ref="A9:C9"/>
    <mergeCell ref="E9:G9"/>
    <mergeCell ref="A44:H44"/>
    <mergeCell ref="F24:G24"/>
    <mergeCell ref="A2:H2"/>
    <mergeCell ref="A12:H12"/>
    <mergeCell ref="G19:H19"/>
    <mergeCell ref="A7:C7"/>
    <mergeCell ref="E7:G7"/>
    <mergeCell ref="A6:H6"/>
    <mergeCell ref="A17:H17"/>
    <mergeCell ref="A10:C10"/>
  </mergeCells>
  <printOptions/>
  <pageMargins left="0.75" right="0.75" top="0.5" bottom="1" header="0" footer="0"/>
  <pageSetup fitToHeight="1" fitToWidth="1" horizontalDpi="1200" verticalDpi="12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Pease</dc:creator>
  <cp:keywords/>
  <dc:description/>
  <cp:lastModifiedBy>Brad</cp:lastModifiedBy>
  <cp:lastPrinted>2014-11-04T21:33:49Z</cp:lastPrinted>
  <dcterms:created xsi:type="dcterms:W3CDTF">2005-01-11T20:20:21Z</dcterms:created>
  <dcterms:modified xsi:type="dcterms:W3CDTF">2016-04-13T15:02:01Z</dcterms:modified>
  <cp:category/>
  <cp:version/>
  <cp:contentType/>
  <cp:contentStatus/>
</cp:coreProperties>
</file>