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820" activeTab="0"/>
  </bookViews>
  <sheets>
    <sheet name="TE-6070" sheetId="1" r:id="rId1"/>
    <sheet name="Current" sheetId="2" r:id="rId2"/>
  </sheets>
  <definedNames>
    <definedName name="__123Graph_A" hidden="1">'TE-6070'!$E$21:$E$25</definedName>
    <definedName name="__123Graph_X" hidden="1">'TE-6070'!$C$21:$C$25</definedName>
    <definedName name="_Regression_Int" localSheetId="0" hidden="1">1</definedName>
    <definedName name="_Regression_Out" hidden="1">'TE-6070'!$I$19</definedName>
    <definedName name="_Regression_X" hidden="1">'TE-6070'!$C$21:$C$25</definedName>
    <definedName name="_Regression_Y" hidden="1">'TE-6070'!$E$21:$E$25</definedName>
    <definedName name="_xlnm.Print_Area" localSheetId="0">'TE-6070'!$A$1:$H$45</definedName>
    <definedName name="Print_Area_MI" localSheetId="0">'TE-6070'!$A$1:$H$49</definedName>
  </definedNames>
  <calcPr fullCalcOnLoad="1"/>
</workbook>
</file>

<file path=xl/sharedStrings.xml><?xml version="1.0" encoding="utf-8"?>
<sst xmlns="http://schemas.openxmlformats.org/spreadsheetml/2006/main" count="78" uniqueCount="76">
  <si>
    <t>TE-6070 PM10</t>
  </si>
  <si>
    <t>Jim Tisch</t>
  </si>
  <si>
    <t>TE-5028A</t>
  </si>
  <si>
    <t>Plate or</t>
  </si>
  <si>
    <t>IC</t>
  </si>
  <si>
    <t>Qa = 1/m(Sqrt((H2O)(Ta/Pa))-b)</t>
  </si>
  <si>
    <t>SFR = 1.13(Ps/Pa)(Ta/Ts)</t>
  </si>
  <si>
    <t>IC = I(Sqrt(Ta/Pa))</t>
  </si>
  <si>
    <t>SSP = (m*SFR+b)(Sqrt(Pa/Ta))</t>
  </si>
  <si>
    <t>Qa = actual flow rate</t>
  </si>
  <si>
    <t>SFR = sampler set point flow rate</t>
  </si>
  <si>
    <t>IC = corrected chart response</t>
  </si>
  <si>
    <t>SSP = sampler chart set point</t>
  </si>
  <si>
    <t>m  = calibrator slope</t>
  </si>
  <si>
    <t>m   = sampler slope</t>
  </si>
  <si>
    <t>b  = calibrator intercept</t>
  </si>
  <si>
    <t>b   = sampler intercept</t>
  </si>
  <si>
    <t>Ta = actual temperature (deg K)</t>
  </si>
  <si>
    <t>Ta  = actual temperature (deg K)</t>
  </si>
  <si>
    <t>Pa = actual pressure (mm Hg)</t>
  </si>
  <si>
    <t>Pa  = actual pressure (mm Hg)</t>
  </si>
  <si>
    <t>I   = chart response</t>
  </si>
  <si>
    <t>Tav = daily average temperature</t>
  </si>
  <si>
    <t>Pav = daily average pressure</t>
  </si>
  <si>
    <t># of Observations:</t>
  </si>
  <si>
    <t>Location:</t>
  </si>
  <si>
    <t>Sampler:</t>
  </si>
  <si>
    <t>Date:</t>
  </si>
  <si>
    <t>Tech:</t>
  </si>
  <si>
    <t>Temperature (deg F):</t>
  </si>
  <si>
    <t>Corrected Pressure (mm Hg):</t>
  </si>
  <si>
    <t>Temperature (deg K):</t>
  </si>
  <si>
    <t>Make:</t>
  </si>
  <si>
    <t>Model:</t>
  </si>
  <si>
    <t>Serial#:</t>
  </si>
  <si>
    <t>Slope:</t>
  </si>
  <si>
    <t>Intercept:</t>
  </si>
  <si>
    <t>Barometric Pressure (in Hg):</t>
  </si>
  <si>
    <t>Average Press. (in Hg):</t>
  </si>
  <si>
    <t>Average Temp. (deg F):</t>
  </si>
  <si>
    <t>Corrected Average (mm Hg):</t>
  </si>
  <si>
    <t>Average Temp. (deg K):</t>
  </si>
  <si>
    <t>Ts  = Average temperature (deg K)</t>
  </si>
  <si>
    <t>Ps  = Average pressure (mm Hg)</t>
  </si>
  <si>
    <t>Site Information</t>
  </si>
  <si>
    <t>Cleves Ohio</t>
  </si>
  <si>
    <t>Site ID:</t>
  </si>
  <si>
    <t>Serial No:</t>
  </si>
  <si>
    <t>Qa</t>
  </si>
  <si>
    <t>(m3/min)</t>
  </si>
  <si>
    <t>I</t>
  </si>
  <si>
    <t>(corrected)</t>
  </si>
  <si>
    <t>Site Conditions</t>
  </si>
  <si>
    <t>Calibration Orifice</t>
  </si>
  <si>
    <t>Calibration Data</t>
  </si>
  <si>
    <t>Test #</t>
  </si>
  <si>
    <t>(chart)</t>
  </si>
  <si>
    <t>In H2O</t>
  </si>
  <si>
    <t>Slope</t>
  </si>
  <si>
    <t>Intercept</t>
  </si>
  <si>
    <t>Corr. Coeff</t>
  </si>
  <si>
    <t xml:space="preserve">    SFR</t>
  </si>
  <si>
    <t xml:space="preserve">    SSP</t>
  </si>
  <si>
    <t>Linear Regression</t>
  </si>
  <si>
    <t>Calculations</t>
  </si>
  <si>
    <t>NOTE: Ensure calibration orifice has been certified within 12 months of use</t>
  </si>
  <si>
    <t>Tisch Environmental 145 South Miami Ave, Cleves OH 45002 ● 877.263.7610 ● sales@tisch-env.com ●  www.tisch-env.com</t>
  </si>
  <si>
    <t>Tisch Environmental, Inc.</t>
  </si>
  <si>
    <t>Calibration Due Date:</t>
  </si>
  <si>
    <t>Average Flow over Sample (m3/min)</t>
  </si>
  <si>
    <t>For subsequent calculation</t>
  </si>
  <si>
    <t xml:space="preserve"> of sampler flow: 1/m((I)(Sqrt(Tav/Pav))-b)
</t>
  </si>
  <si>
    <t>Total flow over sample (m3/min)</t>
  </si>
  <si>
    <t>Total flow over sample (CFM)</t>
  </si>
  <si>
    <t>Average I(chart):</t>
  </si>
  <si>
    <t>Enter Total Time (Hrs):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</si>
</sst>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_)"/>
    <numFmt numFmtId="167" formatCode="0.000_)"/>
    <numFmt numFmtId="168" formatCode="0.0_)"/>
    <numFmt numFmtId="169" formatCode="0.0000_)"/>
    <numFmt numFmtId="170" formatCode="0.0000"/>
    <numFmt numFmtId="171" formatCode="[$-409]dddd\,\ mmmm\ dd\,\ yyyy"/>
    <numFmt numFmtId="172" formatCode="[$-409]d\-mmm\-yy;@"/>
    <numFmt numFmtId="173" formatCode="0.0000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20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left"/>
      <protection locked="0"/>
    </xf>
    <xf numFmtId="15" fontId="2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 vertical="top"/>
    </xf>
    <xf numFmtId="0" fontId="20" fillId="0" borderId="13" xfId="0" applyFont="1" applyBorder="1" applyAlignment="1" applyProtection="1">
      <alignment horizontal="right" vertical="top"/>
      <protection/>
    </xf>
    <xf numFmtId="0" fontId="2" fillId="0" borderId="13" xfId="0" applyFont="1" applyBorder="1" applyAlignment="1" applyProtection="1">
      <alignment horizontal="left" vertical="top"/>
      <protection locked="0"/>
    </xf>
    <xf numFmtId="0" fontId="20" fillId="0" borderId="13" xfId="0" applyFont="1" applyBorder="1" applyAlignment="1">
      <alignment horizontal="right" vertical="top"/>
    </xf>
    <xf numFmtId="0" fontId="2" fillId="0" borderId="13" xfId="0" applyNumberFormat="1" applyFont="1" applyBorder="1" applyAlignment="1" applyProtection="1">
      <alignment horizontal="left" vertical="top"/>
      <protection locked="0"/>
    </xf>
    <xf numFmtId="15" fontId="2" fillId="0" borderId="13" xfId="0" applyNumberFormat="1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 vertical="top"/>
    </xf>
    <xf numFmtId="167" fontId="0" fillId="0" borderId="0" xfId="0" applyNumberForma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 horizontal="left"/>
      <protection/>
    </xf>
    <xf numFmtId="165" fontId="0" fillId="0" borderId="15" xfId="0" applyNumberForma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166" fontId="2" fillId="0" borderId="11" xfId="0" applyNumberFormat="1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left" vertical="top"/>
      <protection locked="0"/>
    </xf>
    <xf numFmtId="0" fontId="0" fillId="0" borderId="13" xfId="0" applyBorder="1" applyAlignment="1">
      <alignment vertical="top"/>
    </xf>
    <xf numFmtId="172" fontId="2" fillId="0" borderId="14" xfId="0" applyNumberFormat="1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165" fontId="2" fillId="0" borderId="13" xfId="0" applyNumberFormat="1" applyFont="1" applyBorder="1" applyAlignment="1" applyProtection="1">
      <alignment horizontal="left" vertical="top"/>
      <protection locked="0"/>
    </xf>
    <xf numFmtId="165" fontId="0" fillId="0" borderId="14" xfId="0" applyNumberForma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 vertical="top"/>
      <protection/>
    </xf>
    <xf numFmtId="168" fontId="2" fillId="0" borderId="0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/>
      <protection locked="0"/>
    </xf>
    <xf numFmtId="170" fontId="0" fillId="0" borderId="15" xfId="0" applyNumberFormat="1" applyFont="1" applyBorder="1" applyAlignment="1">
      <alignment horizontal="left" vertical="top"/>
    </xf>
    <xf numFmtId="167" fontId="0" fillId="0" borderId="15" xfId="0" applyNumberFormat="1" applyBorder="1" applyAlignment="1" applyProtection="1">
      <alignment horizontal="left" vertical="top"/>
      <protection/>
    </xf>
    <xf numFmtId="164" fontId="0" fillId="0" borderId="15" xfId="0" applyNumberForma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/>
      <protection locked="0"/>
    </xf>
    <xf numFmtId="164" fontId="0" fillId="0" borderId="15" xfId="0" applyNumberForma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 locked="0"/>
    </xf>
    <xf numFmtId="164" fontId="2" fillId="0" borderId="13" xfId="0" applyNumberFormat="1" applyFon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/>
    </xf>
    <xf numFmtId="168" fontId="2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top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  <xf numFmtId="168" fontId="2" fillId="0" borderId="11" xfId="0" applyNumberFormat="1" applyFont="1" applyBorder="1" applyAlignment="1" applyProtection="1">
      <alignment horizontal="center"/>
      <protection locked="0"/>
    </xf>
    <xf numFmtId="168" fontId="2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top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  <xf numFmtId="0" fontId="20" fillId="0" borderId="13" xfId="0" applyFont="1" applyBorder="1" applyAlignment="1" applyProtection="1">
      <alignment horizontal="right" vertical="top"/>
      <protection/>
    </xf>
    <xf numFmtId="0" fontId="20" fillId="0" borderId="12" xfId="0" applyFont="1" applyBorder="1" applyAlignment="1" applyProtection="1">
      <alignment horizontal="right" vertical="top"/>
      <protection/>
    </xf>
    <xf numFmtId="0" fontId="20" fillId="0" borderId="13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'TE-6070'!$C$21:$C$25</c:f>
              <c:numCache>
                <c:ptCount val="5"/>
                <c:pt idx="0">
                  <c:v>1.5221604378258444</c:v>
                </c:pt>
                <c:pt idx="1">
                  <c:v>1.2391990776052804</c:v>
                </c:pt>
                <c:pt idx="2">
                  <c:v>1.1812001087485158</c:v>
                </c:pt>
                <c:pt idx="3">
                  <c:v>1.0460457032060135</c:v>
                </c:pt>
                <c:pt idx="4">
                  <c:v>0.8439971642817274</c:v>
                </c:pt>
              </c:numCache>
            </c:numRef>
          </c:xVal>
          <c:yVal>
            <c:numRef>
              <c:f>'TE-6070'!$E$21:$E$25</c:f>
              <c:numCache>
                <c:ptCount val="5"/>
                <c:pt idx="0">
                  <c:v>29.39028529313109</c:v>
                </c:pt>
                <c:pt idx="1">
                  <c:v>24.38768354110878</c:v>
                </c:pt>
                <c:pt idx="2">
                  <c:v>23.1370331031032</c:v>
                </c:pt>
                <c:pt idx="3">
                  <c:v>20.635732227092042</c:v>
                </c:pt>
                <c:pt idx="4">
                  <c:v>16.883780913075306</c:v>
                </c:pt>
              </c:numCache>
            </c:numRef>
          </c:yVal>
          <c:smooth val="0"/>
        </c:ser>
        <c:axId val="23824227"/>
        <c:axId val="13091452"/>
      </c:scatterChart>
      <c:valAx>
        <c:axId val="2382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091452"/>
        <c:crosses val="autoZero"/>
        <c:crossBetween val="midCat"/>
        <c:dispUnits/>
      </c:valAx>
      <c:valAx>
        <c:axId val="1309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66675</xdr:colOff>
      <xdr:row>0</xdr:row>
      <xdr:rowOff>1076325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504825</xdr:rowOff>
    </xdr:from>
    <xdr:to>
      <xdr:col>7</xdr:col>
      <xdr:colOff>647700</xdr:colOff>
      <xdr:row>0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504825"/>
          <a:ext cx="3286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TE-6070 Calibration Worksheet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5"/>
  <sheetViews>
    <sheetView tabSelected="1" zoomScale="160" zoomScaleNormal="160" zoomScalePageLayoutView="0" workbookViewId="0" topLeftCell="A31">
      <selection activeCell="H36" sqref="H36"/>
    </sheetView>
  </sheetViews>
  <sheetFormatPr defaultColWidth="9.625" defaultRowHeight="12.75"/>
  <cols>
    <col min="1" max="1" width="9.625" style="0" customWidth="1"/>
    <col min="2" max="2" width="9.00390625" style="0" customWidth="1"/>
    <col min="3" max="3" width="14.00390625" style="0" customWidth="1"/>
    <col min="4" max="5" width="9.75390625" style="0" bestFit="1" customWidth="1"/>
    <col min="6" max="6" width="8.75390625" style="0" customWidth="1"/>
    <col min="7" max="7" width="17.375" style="0" customWidth="1"/>
    <col min="8" max="8" width="12.25390625" style="0" customWidth="1"/>
    <col min="9" max="9" width="10.625" style="0" customWidth="1"/>
  </cols>
  <sheetData>
    <row r="1" spans="1:8" ht="87.75" customHeight="1">
      <c r="A1" s="2"/>
      <c r="B1" s="2"/>
      <c r="C1" s="2"/>
      <c r="D1" s="2"/>
      <c r="E1" s="2"/>
      <c r="F1" s="2"/>
      <c r="G1" s="2"/>
      <c r="H1" s="2"/>
    </row>
    <row r="2" spans="1:8" ht="3.75" customHeight="1">
      <c r="A2" s="2"/>
      <c r="B2" s="2"/>
      <c r="C2" s="2"/>
      <c r="D2" s="2"/>
      <c r="E2" s="2"/>
      <c r="F2" s="2"/>
      <c r="G2" s="2"/>
      <c r="H2" s="2"/>
    </row>
    <row r="3" spans="1:8" ht="16.5" thickBot="1">
      <c r="A3" s="78" t="s">
        <v>44</v>
      </c>
      <c r="B3" s="78"/>
      <c r="C3" s="78"/>
      <c r="D3" s="78"/>
      <c r="E3" s="78"/>
      <c r="F3" s="78"/>
      <c r="G3" s="78"/>
      <c r="H3" s="78"/>
    </row>
    <row r="4" spans="1:8" ht="21" customHeight="1">
      <c r="A4" s="82" t="s">
        <v>25</v>
      </c>
      <c r="B4" s="83"/>
      <c r="C4" s="15" t="s">
        <v>45</v>
      </c>
      <c r="D4" s="16" t="s">
        <v>46</v>
      </c>
      <c r="E4" s="17">
        <v>145</v>
      </c>
      <c r="F4" s="14" t="s">
        <v>27</v>
      </c>
      <c r="G4" s="18">
        <v>41943</v>
      </c>
      <c r="H4" s="19"/>
    </row>
    <row r="5" spans="1:8" ht="19.5" customHeight="1" thickBot="1">
      <c r="A5" s="20"/>
      <c r="B5" s="21" t="s">
        <v>26</v>
      </c>
      <c r="C5" s="22" t="s">
        <v>0</v>
      </c>
      <c r="D5" s="23" t="s">
        <v>47</v>
      </c>
      <c r="E5" s="24">
        <v>654</v>
      </c>
      <c r="F5" s="21" t="s">
        <v>28</v>
      </c>
      <c r="G5" s="25" t="s">
        <v>1</v>
      </c>
      <c r="H5" s="26"/>
    </row>
    <row r="6" spans="1:8" ht="8.25" customHeight="1">
      <c r="A6" s="2"/>
      <c r="B6" s="2"/>
      <c r="C6" s="2"/>
      <c r="D6" s="2"/>
      <c r="E6" s="2"/>
      <c r="F6" s="2"/>
      <c r="G6" s="2"/>
      <c r="H6" s="2"/>
    </row>
    <row r="7" spans="1:8" ht="16.5" thickBot="1">
      <c r="A7" s="78" t="s">
        <v>52</v>
      </c>
      <c r="B7" s="78"/>
      <c r="C7" s="78"/>
      <c r="D7" s="78"/>
      <c r="E7" s="78"/>
      <c r="F7" s="78"/>
      <c r="G7" s="78"/>
      <c r="H7" s="78"/>
    </row>
    <row r="8" spans="1:8" ht="15.75" customHeight="1">
      <c r="A8" s="82" t="s">
        <v>37</v>
      </c>
      <c r="B8" s="83"/>
      <c r="C8" s="83"/>
      <c r="D8" s="29">
        <v>29.5</v>
      </c>
      <c r="E8" s="83" t="s">
        <v>30</v>
      </c>
      <c r="F8" s="83"/>
      <c r="G8" s="83"/>
      <c r="H8" s="32">
        <f>(D8-(0/1000))*25.4</f>
        <v>749.3</v>
      </c>
    </row>
    <row r="9" spans="1:8" ht="12.75">
      <c r="A9" s="85" t="s">
        <v>29</v>
      </c>
      <c r="B9" s="84"/>
      <c r="C9" s="84"/>
      <c r="D9" s="30">
        <v>68</v>
      </c>
      <c r="E9" s="84" t="s">
        <v>31</v>
      </c>
      <c r="F9" s="84"/>
      <c r="G9" s="84"/>
      <c r="H9" s="33">
        <f>((D9-32)/1.8)+273</f>
        <v>293</v>
      </c>
    </row>
    <row r="10" spans="1:8" ht="12.75">
      <c r="A10" s="85" t="s">
        <v>38</v>
      </c>
      <c r="B10" s="84"/>
      <c r="C10" s="84"/>
      <c r="D10" s="31">
        <v>29.58</v>
      </c>
      <c r="E10" s="84" t="s">
        <v>40</v>
      </c>
      <c r="F10" s="84"/>
      <c r="G10" s="84"/>
      <c r="H10" s="33">
        <f>D10*25.4</f>
        <v>751.3319999999999</v>
      </c>
    </row>
    <row r="11" spans="1:8" s="42" customFormat="1" ht="20.25" customHeight="1" thickBot="1">
      <c r="A11" s="87" t="s">
        <v>39</v>
      </c>
      <c r="B11" s="86"/>
      <c r="C11" s="86"/>
      <c r="D11" s="43">
        <v>66</v>
      </c>
      <c r="E11" s="86" t="s">
        <v>41</v>
      </c>
      <c r="F11" s="86"/>
      <c r="G11" s="86"/>
      <c r="H11" s="44">
        <f>(D11-32)/1.8+273</f>
        <v>291.8888888888889</v>
      </c>
    </row>
    <row r="12" spans="1:8" ht="6" customHeight="1">
      <c r="A12" s="6"/>
      <c r="B12" s="6"/>
      <c r="C12" s="6"/>
      <c r="D12" s="5"/>
      <c r="E12" s="6"/>
      <c r="F12" s="6"/>
      <c r="G12" s="6"/>
      <c r="H12" s="4"/>
    </row>
    <row r="13" spans="1:8" ht="16.5" thickBot="1">
      <c r="A13" s="78" t="s">
        <v>53</v>
      </c>
      <c r="B13" s="78"/>
      <c r="C13" s="78"/>
      <c r="D13" s="78"/>
      <c r="E13" s="78"/>
      <c r="F13" s="78"/>
      <c r="G13" s="78"/>
      <c r="H13" s="78"/>
    </row>
    <row r="14" spans="1:8" ht="17.25" customHeight="1">
      <c r="A14" s="82" t="s">
        <v>32</v>
      </c>
      <c r="B14" s="83"/>
      <c r="C14" s="34" t="s">
        <v>67</v>
      </c>
      <c r="D14" s="35"/>
      <c r="E14" s="35"/>
      <c r="F14" s="83" t="s">
        <v>35</v>
      </c>
      <c r="G14" s="83"/>
      <c r="H14" s="36">
        <v>0.99128</v>
      </c>
    </row>
    <row r="15" spans="1:8" ht="12.75">
      <c r="A15" s="85" t="s">
        <v>33</v>
      </c>
      <c r="B15" s="84"/>
      <c r="C15" s="7" t="s">
        <v>2</v>
      </c>
      <c r="D15" s="8"/>
      <c r="E15" s="8"/>
      <c r="F15" s="84" t="s">
        <v>36</v>
      </c>
      <c r="G15" s="84"/>
      <c r="H15" s="37">
        <v>-0.00941</v>
      </c>
    </row>
    <row r="16" spans="1:8" s="42" customFormat="1" ht="20.25" customHeight="1" thickBot="1">
      <c r="A16" s="87" t="s">
        <v>34</v>
      </c>
      <c r="B16" s="86"/>
      <c r="C16" s="39">
        <v>1179</v>
      </c>
      <c r="D16" s="40"/>
      <c r="E16" s="40"/>
      <c r="F16" s="86" t="s">
        <v>68</v>
      </c>
      <c r="G16" s="86"/>
      <c r="H16" s="41">
        <v>42301</v>
      </c>
    </row>
    <row r="17" spans="1:8" ht="12">
      <c r="A17" s="2"/>
      <c r="B17" s="2"/>
      <c r="C17" s="2"/>
      <c r="D17" s="2"/>
      <c r="E17" s="2"/>
      <c r="F17" s="2"/>
      <c r="G17" s="2"/>
      <c r="H17" s="2"/>
    </row>
    <row r="18" spans="1:8" ht="16.5" thickBot="1">
      <c r="A18" s="78" t="s">
        <v>54</v>
      </c>
      <c r="B18" s="78"/>
      <c r="C18" s="78"/>
      <c r="D18" s="78"/>
      <c r="E18" s="78"/>
      <c r="F18" s="78"/>
      <c r="G18" s="78"/>
      <c r="H18" s="78"/>
    </row>
    <row r="19" spans="1:12" s="38" customFormat="1" ht="16.5" customHeight="1">
      <c r="A19" s="65" t="s">
        <v>3</v>
      </c>
      <c r="B19" s="66" t="s">
        <v>57</v>
      </c>
      <c r="C19" s="66" t="s">
        <v>48</v>
      </c>
      <c r="D19" s="66" t="s">
        <v>50</v>
      </c>
      <c r="E19" s="66" t="s">
        <v>4</v>
      </c>
      <c r="F19" s="67"/>
      <c r="G19" s="66"/>
      <c r="H19" s="68"/>
      <c r="I19" s="69"/>
      <c r="J19" s="3"/>
      <c r="K19" s="69"/>
      <c r="L19" s="69"/>
    </row>
    <row r="20" spans="1:12" ht="12.75">
      <c r="A20" s="52" t="s">
        <v>55</v>
      </c>
      <c r="B20" s="45"/>
      <c r="C20" s="45" t="s">
        <v>49</v>
      </c>
      <c r="D20" s="45" t="s">
        <v>56</v>
      </c>
      <c r="E20" s="45" t="s">
        <v>51</v>
      </c>
      <c r="F20" s="46"/>
      <c r="G20" s="89" t="s">
        <v>63</v>
      </c>
      <c r="H20" s="90"/>
      <c r="I20" s="3"/>
      <c r="J20" s="1"/>
      <c r="K20" s="1"/>
      <c r="L20" s="1"/>
    </row>
    <row r="21" spans="1:12" ht="12.75">
      <c r="A21" s="53">
        <v>1</v>
      </c>
      <c r="B21" s="28">
        <v>5.75</v>
      </c>
      <c r="C21" s="27">
        <f>1/$H$14*(SQRT(B21*($H$9/$H$8))-$H$15)</f>
        <v>1.5221604378258444</v>
      </c>
      <c r="D21" s="51">
        <v>47</v>
      </c>
      <c r="E21" s="49">
        <f>(SQRT($H$9/$H$8))*D21</f>
        <v>29.39028529313109</v>
      </c>
      <c r="F21" s="84" t="s">
        <v>58</v>
      </c>
      <c r="G21" s="84"/>
      <c r="H21" s="54">
        <f>(C21*E21+C22*E22+C23*E23+C24*E24+C25*E25-((SUM(C21:C25)*SUM(E21:E25))/H27))/(-(C21)^2+(C22)^2+(C23)^2+(C24)^2+(C25)^2-(SUM(C21:C25)^2/H27))</f>
        <v>18.493917820597424</v>
      </c>
      <c r="I21" s="3"/>
      <c r="J21" s="1"/>
      <c r="K21" s="1"/>
      <c r="L21" s="1"/>
    </row>
    <row r="22" spans="1:11" ht="12.75">
      <c r="A22" s="53">
        <v>2</v>
      </c>
      <c r="B22" s="28">
        <v>3.8</v>
      </c>
      <c r="C22" s="27">
        <f>1/$H$14*(SQRT(B22*($H$9/$H$8))-$H$15)</f>
        <v>1.2391990776052804</v>
      </c>
      <c r="D22" s="51">
        <v>39</v>
      </c>
      <c r="E22" s="50">
        <f>(SQRT($H$9/$H$8))*D22</f>
        <v>24.38768354110878</v>
      </c>
      <c r="F22" s="84" t="s">
        <v>59</v>
      </c>
      <c r="G22" s="84"/>
      <c r="H22" s="54">
        <f>(AVERAGE(E21:E25)-(C21*E21+C22*E22+C23*E23+C24*E24+C25*E25-((SUM(C21:C25)*SUM(E21:E25))/H27))/(-(C21)^2+(C22)^2+(C23)^2+(C24)^2+(C25)^2-(SUM(C21:C25)^2/H27))*AVERAGE(C21:C25))</f>
        <v>1.3133687832804135</v>
      </c>
      <c r="J22" s="1"/>
      <c r="K22" s="1"/>
    </row>
    <row r="23" spans="1:12" ht="12.75">
      <c r="A23" s="53">
        <v>3</v>
      </c>
      <c r="B23" s="28">
        <v>3.45</v>
      </c>
      <c r="C23" s="27">
        <f>1/$H$14*(SQRT(B23*($H$9/$H$8))-$H$15)</f>
        <v>1.1812001087485158</v>
      </c>
      <c r="D23" s="51">
        <v>37</v>
      </c>
      <c r="E23" s="49">
        <f>(SQRT($H$9/$H$8))*D23</f>
        <v>23.1370331031032</v>
      </c>
      <c r="F23" s="84" t="s">
        <v>60</v>
      </c>
      <c r="G23" s="84"/>
      <c r="H23" s="54">
        <f>(C21*E21+C22*E22+C23*E23+C24*E24+C25*E25-(SUM(C21:C25)*SUM(E21:E25)/H27))/((-(C21)^2+(C22)^2+(C23)^2+(C24)^2+(C25)^2-(SUM(C21:C25)^2/H27))*((E21)^2+(E22)^2+(E23)^2+(E24)^2+(E25)^2-(SUM(E21:E25)^2/H27)))^0.5</f>
        <v>0.9998106560655342</v>
      </c>
      <c r="I23" s="3"/>
      <c r="J23" s="1"/>
      <c r="K23" s="1"/>
      <c r="L23" s="1"/>
    </row>
    <row r="24" spans="1:12" ht="12.75">
      <c r="A24" s="53">
        <v>4</v>
      </c>
      <c r="B24" s="28">
        <v>2.7</v>
      </c>
      <c r="C24" s="27">
        <f>1/$H$14*(SQRT(B24*($H$9/$H$8))-$H$15)</f>
        <v>1.0460457032060135</v>
      </c>
      <c r="D24" s="51">
        <v>33</v>
      </c>
      <c r="E24" s="49">
        <f>(SQRT($H$9/$H$8))*D24</f>
        <v>20.635732227092042</v>
      </c>
      <c r="F24" s="47"/>
      <c r="G24" s="48" t="s">
        <v>61</v>
      </c>
      <c r="H24" s="55">
        <f>1.13*(H10/H8)*(H9/H11)</f>
        <v>1.1373775564057729</v>
      </c>
      <c r="I24" s="3"/>
      <c r="J24" s="1"/>
      <c r="K24" s="1"/>
      <c r="L24" s="1"/>
    </row>
    <row r="25" spans="1:12" ht="12.75">
      <c r="A25" s="53">
        <v>5</v>
      </c>
      <c r="B25" s="28">
        <v>1.75</v>
      </c>
      <c r="C25" s="27">
        <f>1/$H$14*(SQRT(B25*($H$9/$H$8))-$H$15)</f>
        <v>0.8439971642817274</v>
      </c>
      <c r="D25" s="51">
        <v>27</v>
      </c>
      <c r="E25" s="49">
        <f>(SQRT($H$9/$H$8))*D25</f>
        <v>16.883780913075306</v>
      </c>
      <c r="F25" s="47"/>
      <c r="G25" s="48" t="s">
        <v>62</v>
      </c>
      <c r="H25" s="56">
        <f>SQRT(H8/H9)*(H21*H24+H22)</f>
        <v>35.73810101258847</v>
      </c>
      <c r="I25" s="3"/>
      <c r="J25" s="1"/>
      <c r="K25" s="1"/>
      <c r="L25" s="1"/>
    </row>
    <row r="26" spans="1:12" ht="12">
      <c r="A26" s="57"/>
      <c r="B26" s="9"/>
      <c r="C26" s="11"/>
      <c r="D26" s="12"/>
      <c r="E26" s="13"/>
      <c r="F26" s="8"/>
      <c r="G26" s="10"/>
      <c r="H26" s="58"/>
      <c r="I26" s="1"/>
      <c r="J26" s="1"/>
      <c r="K26" s="1"/>
      <c r="L26" s="1"/>
    </row>
    <row r="27" spans="1:12" ht="13.5" thickBot="1">
      <c r="A27" s="59"/>
      <c r="B27" s="60"/>
      <c r="C27" s="61"/>
      <c r="D27" s="62"/>
      <c r="E27" s="63"/>
      <c r="F27" s="88" t="s">
        <v>24</v>
      </c>
      <c r="G27" s="88"/>
      <c r="H27" s="64">
        <v>5</v>
      </c>
      <c r="I27" s="3"/>
      <c r="J27" s="1"/>
      <c r="K27" s="1"/>
      <c r="L27" s="1"/>
    </row>
    <row r="28" spans="1:12" ht="6.75" customHeight="1">
      <c r="A28" s="2"/>
      <c r="B28" s="2"/>
      <c r="C28" s="2"/>
      <c r="D28" s="2"/>
      <c r="E28" s="2"/>
      <c r="F28" s="2"/>
      <c r="G28" s="2"/>
      <c r="H28" s="2"/>
      <c r="I28" s="3"/>
      <c r="J28" s="1"/>
      <c r="K28" s="1"/>
      <c r="L28" s="1"/>
    </row>
    <row r="29" spans="1:8" ht="15.75">
      <c r="A29" s="78" t="s">
        <v>64</v>
      </c>
      <c r="B29" s="78"/>
      <c r="C29" s="78"/>
      <c r="D29" s="78"/>
      <c r="E29" s="78"/>
      <c r="F29" s="78"/>
      <c r="G29" s="78"/>
      <c r="H29" s="78"/>
    </row>
    <row r="30" spans="1:7" ht="12.75">
      <c r="A30" s="70" t="s">
        <v>5</v>
      </c>
      <c r="D30" s="70" t="s">
        <v>6</v>
      </c>
      <c r="G30" s="70" t="s">
        <v>14</v>
      </c>
    </row>
    <row r="31" spans="1:7" ht="12.75">
      <c r="A31" s="70" t="s">
        <v>7</v>
      </c>
      <c r="D31" s="70" t="s">
        <v>8</v>
      </c>
      <c r="G31" s="70" t="s">
        <v>16</v>
      </c>
    </row>
    <row r="32" spans="1:7" ht="12.75">
      <c r="A32" s="71"/>
      <c r="D32" s="71"/>
      <c r="G32" s="70" t="s">
        <v>21</v>
      </c>
    </row>
    <row r="33" spans="1:7" ht="12.75">
      <c r="A33" s="70" t="s">
        <v>9</v>
      </c>
      <c r="D33" s="70" t="s">
        <v>10</v>
      </c>
      <c r="G33" s="70" t="s">
        <v>22</v>
      </c>
    </row>
    <row r="34" spans="1:7" ht="12.75">
      <c r="A34" s="70" t="s">
        <v>11</v>
      </c>
      <c r="D34" s="70" t="s">
        <v>12</v>
      </c>
      <c r="G34" s="70" t="s">
        <v>23</v>
      </c>
    </row>
    <row r="35" spans="1:4" ht="13.5" thickBot="1">
      <c r="A35" s="70" t="s">
        <v>13</v>
      </c>
      <c r="D35" s="70" t="s">
        <v>14</v>
      </c>
    </row>
    <row r="36" spans="1:8" ht="12.75">
      <c r="A36" s="70" t="s">
        <v>15</v>
      </c>
      <c r="D36" s="70" t="s">
        <v>16</v>
      </c>
      <c r="G36" s="74" t="s">
        <v>74</v>
      </c>
      <c r="H36" s="76">
        <v>36</v>
      </c>
    </row>
    <row r="37" spans="1:8" ht="12.75">
      <c r="A37" s="70" t="s">
        <v>17</v>
      </c>
      <c r="D37" s="70" t="s">
        <v>18</v>
      </c>
      <c r="G37" s="91" t="s">
        <v>69</v>
      </c>
      <c r="H37" s="92"/>
    </row>
    <row r="38" spans="1:8" ht="12.75">
      <c r="A38" s="70" t="s">
        <v>19</v>
      </c>
      <c r="D38" s="70" t="s">
        <v>20</v>
      </c>
      <c r="G38" s="95">
        <f>1/H21*((H36)*(SQRT(H11/H10))-H22)</f>
        <v>1.1422787672703305</v>
      </c>
      <c r="H38" s="96"/>
    </row>
    <row r="39" spans="1:8" ht="12.75">
      <c r="A39" s="71" t="s">
        <v>70</v>
      </c>
      <c r="D39" s="70" t="s">
        <v>42</v>
      </c>
      <c r="G39" s="75" t="s">
        <v>75</v>
      </c>
      <c r="H39" s="77">
        <v>23.9</v>
      </c>
    </row>
    <row r="40" spans="1:8" ht="15" customHeight="1">
      <c r="A40" s="80" t="s">
        <v>71</v>
      </c>
      <c r="B40" s="81"/>
      <c r="C40" s="81"/>
      <c r="D40" s="73" t="s">
        <v>43</v>
      </c>
      <c r="G40" s="93" t="s">
        <v>72</v>
      </c>
      <c r="H40" s="94"/>
    </row>
    <row r="41" spans="1:8" ht="12.75">
      <c r="A41" s="70"/>
      <c r="G41" s="95">
        <f>H39*60*G38</f>
        <v>1638.027752265654</v>
      </c>
      <c r="H41" s="96"/>
    </row>
    <row r="42" spans="1:8" ht="12.75">
      <c r="A42" s="72" t="s">
        <v>65</v>
      </c>
      <c r="G42" s="93" t="s">
        <v>73</v>
      </c>
      <c r="H42" s="94"/>
    </row>
    <row r="43" spans="1:8" ht="13.5" thickBot="1">
      <c r="A43" s="72"/>
      <c r="G43" s="97">
        <f>G41*35.31</f>
        <v>57838.759932500245</v>
      </c>
      <c r="H43" s="98"/>
    </row>
    <row r="45" spans="1:8" ht="12">
      <c r="A45" s="79" t="s">
        <v>66</v>
      </c>
      <c r="B45" s="79"/>
      <c r="C45" s="79"/>
      <c r="D45" s="79"/>
      <c r="E45" s="79"/>
      <c r="F45" s="79"/>
      <c r="G45" s="79"/>
      <c r="H45" s="79"/>
    </row>
  </sheetData>
  <sheetProtection/>
  <mergeCells count="33">
    <mergeCell ref="G37:H37"/>
    <mergeCell ref="G40:H40"/>
    <mergeCell ref="G41:H41"/>
    <mergeCell ref="G42:H42"/>
    <mergeCell ref="G43:H43"/>
    <mergeCell ref="G38:H38"/>
    <mergeCell ref="F21:G21"/>
    <mergeCell ref="F22:G22"/>
    <mergeCell ref="F23:G23"/>
    <mergeCell ref="F27:G27"/>
    <mergeCell ref="A15:B15"/>
    <mergeCell ref="A16:B16"/>
    <mergeCell ref="A18:H18"/>
    <mergeCell ref="G20:H20"/>
    <mergeCell ref="A9:C9"/>
    <mergeCell ref="A10:C10"/>
    <mergeCell ref="F14:G14"/>
    <mergeCell ref="F15:G15"/>
    <mergeCell ref="F16:G16"/>
    <mergeCell ref="E10:G10"/>
    <mergeCell ref="E11:G11"/>
    <mergeCell ref="A14:B14"/>
    <mergeCell ref="A11:C11"/>
    <mergeCell ref="A29:H29"/>
    <mergeCell ref="A45:H45"/>
    <mergeCell ref="A40:C40"/>
    <mergeCell ref="A3:H3"/>
    <mergeCell ref="A4:B4"/>
    <mergeCell ref="A13:H13"/>
    <mergeCell ref="E8:G8"/>
    <mergeCell ref="E9:G9"/>
    <mergeCell ref="A7:H7"/>
    <mergeCell ref="A8:C8"/>
  </mergeCells>
  <printOptions/>
  <pageMargins left="0.75" right="0.75" top="0.5" bottom="0.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Brad</cp:lastModifiedBy>
  <cp:lastPrinted>2014-11-04T21:41:38Z</cp:lastPrinted>
  <dcterms:created xsi:type="dcterms:W3CDTF">2005-02-10T13:49:50Z</dcterms:created>
  <dcterms:modified xsi:type="dcterms:W3CDTF">2016-04-25T15:07:23Z</dcterms:modified>
  <cp:category/>
  <cp:version/>
  <cp:contentType/>
  <cp:contentStatus/>
</cp:coreProperties>
</file>